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Forecast" sheetId="3" state="visible" r:id="rId5"/>
    <sheet name="DCF" sheetId="4" state="visible" r:id="rId6"/>
    <sheet name="Checks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<sst xmlns="http://schemas.openxmlformats.org/spreadsheetml/2006/main" count="125" uniqueCount="117">
  <si>
    <t xml:space="preserve">Volaxi — DCF Model Template</t>
  </si>
  <si>
    <t xml:space="preserve">Free Excel template. Replace every blue input with deal facts before relying on any output.</t>
  </si>
  <si>
    <t xml:space="preserve">Prepared by</t>
  </si>
  <si>
    <t xml:space="preserve">CA Pranay Bhansali, Volaxi</t>
  </si>
  <si>
    <t xml:space="preserve">Contact</t>
  </si>
  <si>
    <t xml:space="preserve">pranay@thevolaxi.com</t>
  </si>
  <si>
    <t xml:space="preserve">Website</t>
  </si>
  <si>
    <t xml:space="preserve">https://thevolaxi.com/resources/dcf-model-template</t>
  </si>
  <si>
    <t xml:space="preserve">Tabs</t>
  </si>
  <si>
    <t xml:space="preserve">Assumptions | Forecast | DCF | Checks</t>
  </si>
  <si>
    <t xml:space="preserve">Convention</t>
  </si>
  <si>
    <t xml:space="preserve">Blue cells on a pale background are inputs. Everything else is a formula — do not overwrite.</t>
  </si>
  <si>
    <t xml:space="preserve">Discounting</t>
  </si>
  <si>
    <t xml:space="preserve">Mid-year convention toggle on the Assumptions tab (1 = mid-year, 0 = year-end).</t>
  </si>
  <si>
    <t xml:space="preserve">Currency / units</t>
  </si>
  <si>
    <t xml:space="preserve">Figures are in millions of the reporting currency; the model is unit-agnostic.</t>
  </si>
  <si>
    <t xml:space="preserve">Scope limits</t>
  </si>
  <si>
    <t xml:space="preserve">No three-statement integration, no debt schedule, no scenario manager, no segment build.</t>
  </si>
  <si>
    <t xml:space="preserve">Terminal value is Gordon growth, cross-checked against an exit EBITDA multiple.</t>
  </si>
  <si>
    <t xml:space="preserve">This template is a starting structure for analysis. It is not investment, tax or valuation advice.</t>
  </si>
  <si>
    <t xml:space="preserve">Assumptions</t>
  </si>
  <si>
    <t xml:space="preserve">All model inputs live here. Blue = input.</t>
  </si>
  <si>
    <t xml:space="preserve">Operating assumptions</t>
  </si>
  <si>
    <t xml:space="preserve">Base year revenue</t>
  </si>
  <si>
    <t xml:space="preserve">Revenue growth — year 1</t>
  </si>
  <si>
    <t xml:space="preserve">Revenue growth — year 2</t>
  </si>
  <si>
    <t xml:space="preserve">Revenue growth — year 3</t>
  </si>
  <si>
    <t xml:space="preserve">Revenue growth — year 4</t>
  </si>
  <si>
    <t xml:space="preserve">Revenue growth — year 5</t>
  </si>
  <si>
    <t xml:space="preserve">EBITDA margin</t>
  </si>
  <si>
    <t xml:space="preserve">Depreciation &amp; amortisation (% of revenue)</t>
  </si>
  <si>
    <t xml:space="preserve">Capital expenditure (% of revenue)</t>
  </si>
  <si>
    <t xml:space="preserve">Net working capital (% of revenue)</t>
  </si>
  <si>
    <t xml:space="preserve">Cash tax rate</t>
  </si>
  <si>
    <t xml:space="preserve">Cost of capital (WACC build)</t>
  </si>
  <si>
    <t xml:space="preserve">Risk-free rate</t>
  </si>
  <si>
    <t xml:space="preserve">Equity risk premium</t>
  </si>
  <si>
    <t xml:space="preserve">Levered beta</t>
  </si>
  <si>
    <t xml:space="preserve">Size / specific risk premium</t>
  </si>
  <si>
    <t xml:space="preserve">Pre-tax cost of debt</t>
  </si>
  <si>
    <t xml:space="preserve">Marginal tax rate (for debt shield)</t>
  </si>
  <si>
    <t xml:space="preserve">Target equity weight</t>
  </si>
  <si>
    <t xml:space="preserve">Target debt weight</t>
  </si>
  <si>
    <t xml:space="preserve">Cost of equity (CAPM + specific risk)</t>
  </si>
  <si>
    <t xml:space="preserve">After-tax cost of debt</t>
  </si>
  <si>
    <t xml:space="preserve">WACC</t>
  </si>
  <si>
    <t xml:space="preserve">Terminal value and discounting</t>
  </si>
  <si>
    <t xml:space="preserve">Terminal growth rate (perpetuity)</t>
  </si>
  <si>
    <t xml:space="preserve">Exit EBITDA multiple (cross-check)</t>
  </si>
  <si>
    <t xml:space="preserve">Mid-year discounting (1 = yes, 0 = no)</t>
  </si>
  <si>
    <t xml:space="preserve">Enterprise to equity bridge</t>
  </si>
  <si>
    <t xml:space="preserve">Gross debt</t>
  </si>
  <si>
    <t xml:space="preserve">Cash and cash equivalents</t>
  </si>
  <si>
    <t xml:space="preserve">Debt-like items (pensions, leases, disputed tax)</t>
  </si>
  <si>
    <t xml:space="preserve">Surplus / non-operating assets</t>
  </si>
  <si>
    <t xml:space="preserve">Diluted shares outstanding (millions)</t>
  </si>
  <si>
    <t xml:space="preserve">Forecast — unlevered free cash flow</t>
  </si>
  <si>
    <t xml:space="preserve">Five-year explicit forecast. All drivers come from the Assumptions tab.</t>
  </si>
  <si>
    <t xml:space="preserve">Base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</si>
  <si>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</si>
  <si>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</si>
  <si>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</si>
  <si>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</si>
  <si>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</si>
  <si>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Revenue growth</t>
  </si>
  <si>
    <t xml:space="preserve">Revenue</t>
  </si>
  <si>
    <t xml:space="preserve">EBITDA</t>
  </si>
  <si>
    <t xml:space="preserve">Depreciation &amp; amortisation</t>
  </si>
  <si>
    <t xml:space="preserve">EBIT</t>
  </si>
  <si>
    <t xml:space="preserve">Cash tax on EBIT</t>
  </si>
  <si>
    <t xml:space="preserve">NOPAT</t>
  </si>
  <si>
    <t xml:space="preserve">Add back D&amp;A</t>
  </si>
  <si>
    <t xml:space="preserve">Capital expenditure</t>
  </si>
  <si>
    <t xml:space="preserve">Net working capital (balance)</t>
  </si>
  <si>
    <t xml:space="preserve">(Increase) / decrease in NWC</t>
  </si>
  <si>
    <t xml:space="preserve">Unlevered free cash flow</t>
  </si>
  <si>
    <t xml:space="preserve">DCF valuation</t>
  </si>
  <si>
    <t xml:space="preserve">Discounts the Forecast tab at the WACC built on the Assumptions tab.</t>
  </si>
  <si>
    <t xml:space="preserve">Terminal growth</t>
  </si>
  <si>
    <t xml:space="preserve">Mid-year convention</t>
  </si>
  <si>
    <t xml:space="preserve">Period</t>
  </si>
  <si>
    <t xml:space="preserve">Discount factor</t>
  </si>
  <si>
    <t xml:space="preserve">Present value of FCF</t>
  </si>
  <si>
    <t xml:space="preserve">Terminal value</t>
  </si>
  <si>
    <t xml:space="preserve">Terminal year FCF (grown one year)</t>
  </si>
  <si>
    <t xml:space="preserve">Terminal value (Gordon growth)</t>
  </si>
  <si>
    <t xml:space="preserve">Discount factor at exit</t>
  </si>
  <si>
    <t xml:space="preserve">Present value of terminal value</t>
  </si>
  <si>
    <t xml:space="preserve">Cross-check: exit multiple TV</t>
  </si>
  <si>
    <t xml:space="preserve">Implied exit multiple on Gordon TV</t>
  </si>
  <si>
    <t xml:space="preserve">Enterprise and equity value</t>
  </si>
  <si>
    <t xml:space="preserve">PV of explicit forecast</t>
  </si>
  <si>
    <t xml:space="preserve">PV of terminal value</t>
  </si>
  <si>
    <t xml:space="preserve">Enterprise value</t>
  </si>
  <si>
    <t xml:space="preserve">Terminal value as % of enterprise value</t>
  </si>
  <si>
    <t xml:space="preserve">Less: gross debt</t>
  </si>
  <si>
    <t xml:space="preserve">Add: cash</t>
  </si>
  <si>
    <t xml:space="preserve">Less: debt-like items</t>
  </si>
  <si>
    <t xml:space="preserve">Add: surplus assets</t>
  </si>
  <si>
    <t xml:space="preserve">Equity value</t>
  </si>
  <si>
    <t xml:space="preserve">Equity value per share</t>
  </si>
  <si>
    <t xml:space="preserve">Sensitivity — enterprise value: WACC (rows) vs terminal growth (columns)</t>
  </si>
  <si>
    <t xml:space="preserve">Note: recalculated inline; the grid does not use an Excel data table.</t>
  </si>
  <si>
    <t xml:space="preserve">WACC \ g</t>
  </si>
  <si>
    <t xml:space="preserve">Integrity checks</t>
  </si>
  <si>
    <t xml:space="preserve">Every line must read OK before any output is used.</t>
  </si>
  <si>
    <t xml:space="preserve">Check</t>
  </si>
  <si>
    <t xml:space="preserve">Status</t>
  </si>
  <si>
    <t xml:space="preserve">WACC exceeds terminal growth</t>
  </si>
  <si>
    <t xml:space="preserve">Equity + debt weights sum to 100%</t>
  </si>
  <si>
    <t xml:space="preserve">All forecast FCF values are numeric</t>
  </si>
  <si>
    <t xml:space="preserve">Enterprise value is positive</t>
  </si>
  <si>
    <t xml:space="preserve">Terminal value below 85% of enterprise value</t>
  </si>
  <si>
    <t xml:space="preserve">Gordon TV within 25% of exit-multiple cross-check</t>
  </si>
  <si>
    <t xml:space="preserve">Equity value is positive</t>
  </si>
  <si>
    <t xml:space="preserve">Cash tax rate between 0% and 50%</t>
  </si>
  <si>
    <t xml:space="preserve">Master check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</si>
</sst>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#,##0.0"/>
    <numFmt numFmtId="166" formatCode="0.0%"/>
    <numFmt numFmtId="167" formatCode="0.00"/>
    <numFmt numFmtId="168" formatCode="0.00%"/>
    <numFmt numFmtId="169" formatCode="0.0\x"/>
    <numFmt numFmtId="170" formatCode="0"/>
    <numFmt numFmtId="171" formatCode="0.0"/>
    <numFmt numFmtId="172" formatCode="0.000"/>
    <numFmt numFmtId="173" formatCode="#,##0.00"/>
    <numFmt numFmtId="174" formatCode="#,##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666666"/>
      <name val="Cambria"/>
      <family val="0"/>
      <charset val="1"/>
    </font>
    <font>
      <b val="true"/>
      <sz val="11"/>
      <name val="Calibri"/>
      <family val="0"/>
      <charset val="1"/>
    </font>
    <font>
      <sz val="11"/>
      <color rgb="FF0000CC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i val="true"/>
      <sz val="9"/>
      <color rgb="FF666666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0FA"/>
        <bgColor rgb="FFFFFFFF"/>
      </patternFill>
    </fill>
    <fill>
      <patternFill patternType="solid">
        <fgColor rgb="FF1F2A37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FFFCC"/>
      <rgbColor rgb="FFEAF0F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0"/>
    <col collapsed="false" customWidth="true" hidden="false" outlineLevel="0" max="8" min="3" style="0" width="1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0" t="s">
        <v>3</v>
      </c>
    </row>
    <row r="5" customFormat="false" ht="15" hidden="false" customHeight="false" outlineLevel="0" collapsed="false">
      <c r="A5" s="3" t="s">
        <v>4</v>
      </c>
      <c r="B5" s="0" t="s">
        <v>5</v>
      </c>
    </row>
    <row r="6" customFormat="false" ht="15" hidden="false" customHeight="false" outlineLevel="0" collapsed="false">
      <c r="A6" s="3" t="s">
        <v>6</v>
      </c>
      <c r="B6" s="0" t="s">
        <v>7</v>
      </c>
    </row>
    <row r="7" customFormat="false" ht="15" hidden="false" customHeight="false" outlineLevel="0" collapsed="false">
      <c r="A7" s="3"/>
    </row>
    <row r="8" customFormat="false" ht="15" hidden="false" customHeight="false" outlineLevel="0" collapsed="false">
      <c r="A8" s="3" t="s">
        <v>8</v>
      </c>
      <c r="B8" s="0" t="s">
        <v>9</v>
      </c>
    </row>
    <row r="9" customFormat="false" ht="15" hidden="false" customHeight="false" outlineLevel="0" collapsed="false">
      <c r="A9" s="3" t="s">
        <v>10</v>
      </c>
      <c r="B9" s="0" t="s">
        <v>11</v>
      </c>
    </row>
    <row r="10" customFormat="false" ht="15" hidden="false" customHeight="false" outlineLevel="0" collapsed="false">
      <c r="A10" s="3" t="s">
        <v>12</v>
      </c>
      <c r="B10" s="0" t="s">
        <v>13</v>
      </c>
    </row>
    <row r="11" customFormat="false" ht="15" hidden="false" customHeight="false" outlineLevel="0" collapsed="false">
      <c r="A11" s="3" t="s">
        <v>14</v>
      </c>
      <c r="B11" s="0" t="s">
        <v>15</v>
      </c>
    </row>
    <row r="12" customFormat="false" ht="15" hidden="false" customHeight="false" outlineLevel="0" collapsed="false">
      <c r="A12" s="3"/>
    </row>
    <row r="13" customFormat="false" ht="15" hidden="false" customHeight="false" outlineLevel="0" collapsed="false">
      <c r="A13" s="3" t="s">
        <v>16</v>
      </c>
      <c r="B13" s="0" t="s">
        <v>17</v>
      </c>
    </row>
    <row r="14" customFormat="false" ht="15" hidden="false" customHeight="false" outlineLevel="0" collapsed="false">
      <c r="A14" s="3"/>
      <c r="B14" s="0" t="s">
        <v>18</v>
      </c>
    </row>
    <row r="15" customFormat="false" ht="15" hidden="false" customHeight="false" outlineLevel="0" collapsed="false">
      <c r="A15" s="3"/>
      <c r="B15" s="0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5"/>
  </cols>
  <sheetData>
    <row r="1" customFormat="false" ht="17.3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21</v>
      </c>
    </row>
    <row r="4" customFormat="false" ht="15" hidden="false" customHeight="false" outlineLevel="0" collapsed="false">
      <c r="A4" s="3" t="s">
        <v>22</v>
      </c>
    </row>
    <row r="5" customFormat="false" ht="15" hidden="false" customHeight="false" outlineLevel="0" collapsed="false">
      <c r="A5" s="0" t="s">
        <v>23</v>
      </c>
      <c r="B5" s="4" t="n">
        <v>250</v>
      </c>
    </row>
    <row r="6" customFormat="false" ht="15" hidden="false" customHeight="false" outlineLevel="0" collapsed="false">
      <c r="A6" s="0" t="s">
        <v>24</v>
      </c>
      <c r="B6" s="5" t="n">
        <v>0.12</v>
      </c>
    </row>
    <row r="7" customFormat="false" ht="15" hidden="false" customHeight="false" outlineLevel="0" collapsed="false">
      <c r="A7" s="0" t="s">
        <v>25</v>
      </c>
      <c r="B7" s="5" t="n">
        <v>0.1</v>
      </c>
    </row>
    <row r="8" customFormat="false" ht="15" hidden="false" customHeight="false" outlineLevel="0" collapsed="false">
      <c r="A8" s="0" t="s">
        <v>26</v>
      </c>
      <c r="B8" s="5" t="n">
        <v>0.08</v>
      </c>
    </row>
    <row r="9" customFormat="false" ht="15" hidden="false" customHeight="false" outlineLevel="0" collapsed="false">
      <c r="A9" s="0" t="s">
        <v>27</v>
      </c>
      <c r="B9" s="5" t="n">
        <v>0.06</v>
      </c>
    </row>
    <row r="10" customFormat="false" ht="15" hidden="false" customHeight="false" outlineLevel="0" collapsed="false">
      <c r="A10" s="0" t="s">
        <v>28</v>
      </c>
      <c r="B10" s="5" t="n">
        <v>0.05</v>
      </c>
    </row>
    <row r="11" customFormat="false" ht="15" hidden="false" customHeight="false" outlineLevel="0" collapsed="false">
      <c r="A11" s="0" t="s">
        <v>29</v>
      </c>
      <c r="B11" s="5" t="n">
        <v>0.22</v>
      </c>
    </row>
    <row r="12" customFormat="false" ht="15" hidden="false" customHeight="false" outlineLevel="0" collapsed="false">
      <c r="A12" s="0" t="s">
        <v>30</v>
      </c>
      <c r="B12" s="5" t="n">
        <v>0.04</v>
      </c>
    </row>
    <row r="13" customFormat="false" ht="15" hidden="false" customHeight="false" outlineLevel="0" collapsed="false">
      <c r="A13" s="0" t="s">
        <v>31</v>
      </c>
      <c r="B13" s="5" t="n">
        <v>0.05</v>
      </c>
    </row>
    <row r="14" customFormat="false" ht="15" hidden="false" customHeight="false" outlineLevel="0" collapsed="false">
      <c r="A14" s="0" t="s">
        <v>32</v>
      </c>
      <c r="B14" s="5" t="n">
        <v>0.15</v>
      </c>
    </row>
    <row r="15" customFormat="false" ht="15" hidden="false" customHeight="false" outlineLevel="0" collapsed="false">
      <c r="A15" s="0" t="s">
        <v>33</v>
      </c>
      <c r="B15" s="5" t="n">
        <v>0.25</v>
      </c>
    </row>
    <row r="17" customFormat="false" ht="15" hidden="false" customHeight="false" outlineLevel="0" collapsed="false">
      <c r="A17" s="3" t="s">
        <v>34</v>
      </c>
    </row>
    <row r="18" customFormat="false" ht="15" hidden="false" customHeight="false" outlineLevel="0" collapsed="false">
      <c r="A18" s="0" t="s">
        <v>35</v>
      </c>
      <c r="B18" s="5" t="n">
        <v>0.045</v>
      </c>
    </row>
    <row r="19" customFormat="false" ht="15" hidden="false" customHeight="false" outlineLevel="0" collapsed="false">
      <c r="A19" s="0" t="s">
        <v>36</v>
      </c>
      <c r="B19" s="5" t="n">
        <v>0.055</v>
      </c>
    </row>
    <row r="20" customFormat="false" ht="15" hidden="false" customHeight="false" outlineLevel="0" collapsed="false">
      <c r="A20" s="0" t="s">
        <v>37</v>
      </c>
      <c r="B20" s="6" t="n">
        <v>1.15</v>
      </c>
    </row>
    <row r="21" customFormat="false" ht="15" hidden="false" customHeight="false" outlineLevel="0" collapsed="false">
      <c r="A21" s="0" t="s">
        <v>38</v>
      </c>
      <c r="B21" s="5" t="n">
        <v>0.015</v>
      </c>
    </row>
    <row r="22" customFormat="false" ht="15" hidden="false" customHeight="false" outlineLevel="0" collapsed="false">
      <c r="A22" s="0" t="s">
        <v>39</v>
      </c>
      <c r="B22" s="5" t="n">
        <v>0.09</v>
      </c>
    </row>
    <row r="23" customFormat="false" ht="15" hidden="false" customHeight="false" outlineLevel="0" collapsed="false">
      <c r="A23" s="0" t="s">
        <v>40</v>
      </c>
      <c r="B23" s="5" t="n">
        <v>0.25</v>
      </c>
    </row>
    <row r="24" customFormat="false" ht="15" hidden="false" customHeight="false" outlineLevel="0" collapsed="false">
      <c r="A24" s="0" t="s">
        <v>41</v>
      </c>
      <c r="B24" s="5" t="n">
        <v>0.7</v>
      </c>
    </row>
    <row r="25" customFormat="false" ht="15" hidden="false" customHeight="false" outlineLevel="0" collapsed="false">
      <c r="A25" s="0" t="s">
        <v>42</v>
      </c>
      <c r="B25" s="7" t="n">
        <f aca="false">1-B24</f>
        <v>0.3</v>
      </c>
    </row>
    <row r="26" customFormat="false" ht="15" hidden="false" customHeight="false" outlineLevel="0" collapsed="false">
      <c r="A26" s="0" t="s">
        <v>43</v>
      </c>
      <c r="B26" s="8" t="n">
        <f aca="false">B18+B20*B19+B21</f>
        <v>0.12325</v>
      </c>
    </row>
    <row r="27" customFormat="false" ht="15" hidden="false" customHeight="false" outlineLevel="0" collapsed="false">
      <c r="A27" s="0" t="s">
        <v>44</v>
      </c>
      <c r="B27" s="8" t="n">
        <f aca="false">B22*(1-B23)</f>
        <v>0.0675</v>
      </c>
    </row>
    <row r="28" customFormat="false" ht="15" hidden="false" customHeight="false" outlineLevel="0" collapsed="false">
      <c r="A28" s="3" t="s">
        <v>45</v>
      </c>
      <c r="B28" s="9" t="n">
        <f aca="false">B24*B26+B25*B27</f>
        <v>0.106525</v>
      </c>
    </row>
    <row r="30" customFormat="false" ht="15" hidden="false" customHeight="false" outlineLevel="0" collapsed="false">
      <c r="A30" s="3" t="s">
        <v>46</v>
      </c>
    </row>
    <row r="31" customFormat="false" ht="15" hidden="false" customHeight="false" outlineLevel="0" collapsed="false">
      <c r="A31" s="0" t="s">
        <v>47</v>
      </c>
      <c r="B31" s="5" t="n">
        <v>0.03</v>
      </c>
    </row>
    <row r="32" customFormat="false" ht="15" hidden="false" customHeight="false" outlineLevel="0" collapsed="false">
      <c r="A32" s="0" t="s">
        <v>48</v>
      </c>
      <c r="B32" s="10" t="n">
        <v>8</v>
      </c>
    </row>
    <row r="33" customFormat="false" ht="15" hidden="false" customHeight="false" outlineLevel="0" collapsed="false">
      <c r="A33" s="0" t="s">
        <v>49</v>
      </c>
      <c r="B33" s="11" t="n">
        <v>1</v>
      </c>
    </row>
    <row r="35" customFormat="false" ht="15" hidden="false" customHeight="false" outlineLevel="0" collapsed="false">
      <c r="A35" s="3" t="s">
        <v>50</v>
      </c>
    </row>
    <row r="36" customFormat="false" ht="15" hidden="false" customHeight="false" outlineLevel="0" collapsed="false">
      <c r="A36" s="0" t="s">
        <v>51</v>
      </c>
      <c r="B36" s="4" t="n">
        <v>120</v>
      </c>
    </row>
    <row r="37" customFormat="false" ht="15" hidden="false" customHeight="false" outlineLevel="0" collapsed="false">
      <c r="A37" s="0" t="s">
        <v>52</v>
      </c>
      <c r="B37" s="4" t="n">
        <v>25</v>
      </c>
    </row>
    <row r="38" customFormat="false" ht="15" hidden="false" customHeight="false" outlineLevel="0" collapsed="false">
      <c r="A38" s="0" t="s">
        <v>53</v>
      </c>
      <c r="B38" s="4" t="n">
        <v>10</v>
      </c>
    </row>
    <row r="39" customFormat="false" ht="15" hidden="false" customHeight="false" outlineLevel="0" collapsed="false">
      <c r="A39" s="0" t="s">
        <v>54</v>
      </c>
      <c r="B39" s="4" t="n">
        <v>5</v>
      </c>
    </row>
    <row r="40" customFormat="false" ht="15" hidden="false" customHeight="false" outlineLevel="0" collapsed="false">
      <c r="A40" s="0" t="s">
        <v>55</v>
      </c>
      <c r="B40" s="4" t="n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5"/>
  </cols>
  <sheetData>
    <row r="1" customFormat="false" ht="17.35" hidden="false" customHeight="false" outlineLevel="0" collapsed="false">
      <c r="A1" s="1" t="s">
        <v>56</v>
      </c>
    </row>
    <row r="2" customFormat="false" ht="15" hidden="false" customHeight="false" outlineLevel="0" collapsed="false">
      <c r="A2" s="2" t="s">
        <v>57</v>
      </c>
    </row>
    <row r="4" customFormat="false" ht="15" hidden="false" customHeight="false" outlineLevel="0" collapsed="false">
      <c r="B4" s="12" t="s">
        <v>58</v>
      </c>
      <c r="C4" s="13" t="s">
        <v>59</v>
      </c>
      <c r="D4" s="13" t="s">
        <v>60</v>
      </c>
      <c r="E4" s="13" t="s">
        <v>61</v>
      </c>
      <c r="F4" s="13" t="s">
        <v>62</v>
      </c>
      <c r="G4" s="13" t="s">
        <v>63</v>
      </c>
    </row>
    <row r="5" customFormat="false" ht="15" hidden="false" customHeight="false" outlineLevel="0" collapsed="false">
      <c r="A5" s="0" t="s">
        <v>64</v>
      </c>
      <c r="C5" s="7" t="n">
        <f aca="false">Assumptions!$B$6</f>
        <v>0.12</v>
      </c>
      <c r="D5" s="7" t="n">
        <f aca="false">Assumptions!$B$7</f>
        <v>0.1</v>
      </c>
      <c r="E5" s="7" t="n">
        <f aca="false">Assumptions!$B$8</f>
        <v>0.08</v>
      </c>
      <c r="F5" s="7" t="n">
        <f aca="false">Assumptions!$B$9</f>
        <v>0.06</v>
      </c>
      <c r="G5" s="7" t="n">
        <f aca="false">Assumptions!$B$10</f>
        <v>0.05</v>
      </c>
    </row>
    <row r="6" customFormat="false" ht="15" hidden="false" customHeight="false" outlineLevel="0" collapsed="false">
      <c r="A6" s="3" t="s">
        <v>65</v>
      </c>
      <c r="B6" s="14" t="n">
        <f aca="false">Assumptions!$B$5</f>
        <v>250</v>
      </c>
      <c r="C6" s="14" t="n">
        <f aca="false">B6*(1+C5)</f>
        <v>280</v>
      </c>
      <c r="D6" s="14" t="n">
        <f aca="false">C6*(1+D5)</f>
        <v>308</v>
      </c>
      <c r="E6" s="14" t="n">
        <f aca="false">D6*(1+E5)</f>
        <v>332.64</v>
      </c>
      <c r="F6" s="14" t="n">
        <f aca="false">E6*(1+F5)</f>
        <v>352.5984</v>
      </c>
      <c r="G6" s="14" t="n">
        <f aca="false">F6*(1+G5)</f>
        <v>370.22832</v>
      </c>
    </row>
    <row r="7" customFormat="false" ht="15" hidden="false" customHeight="false" outlineLevel="0" collapsed="false">
      <c r="A7" s="0" t="s">
        <v>66</v>
      </c>
      <c r="C7" s="14" t="n">
        <f aca="false">C6*Assumptions!$B$11</f>
        <v>61.6</v>
      </c>
      <c r="D7" s="14" t="n">
        <f aca="false">D6*Assumptions!$B$11</f>
        <v>67.76</v>
      </c>
      <c r="E7" s="14" t="n">
        <f aca="false">E6*Assumptions!$B$11</f>
        <v>73.1808</v>
      </c>
      <c r="F7" s="14" t="n">
        <f aca="false">F6*Assumptions!$B$11</f>
        <v>77.571648</v>
      </c>
      <c r="G7" s="14" t="n">
        <f aca="false">G6*Assumptions!$B$11</f>
        <v>81.4502304</v>
      </c>
    </row>
    <row r="8" customFormat="false" ht="15" hidden="false" customHeight="false" outlineLevel="0" collapsed="false">
      <c r="A8" s="0" t="s">
        <v>67</v>
      </c>
      <c r="C8" s="14" t="n">
        <f aca="false">-C6*Assumptions!$B$12</f>
        <v>-11.2</v>
      </c>
      <c r="D8" s="14" t="n">
        <f aca="false">-D6*Assumptions!$B$12</f>
        <v>-12.32</v>
      </c>
      <c r="E8" s="14" t="n">
        <f aca="false">-E6*Assumptions!$B$12</f>
        <v>-13.3056</v>
      </c>
      <c r="F8" s="14" t="n">
        <f aca="false">-F6*Assumptions!$B$12</f>
        <v>-14.103936</v>
      </c>
      <c r="G8" s="14" t="n">
        <f aca="false">-G6*Assumptions!$B$12</f>
        <v>-14.8091328</v>
      </c>
    </row>
    <row r="9" customFormat="false" ht="15" hidden="false" customHeight="false" outlineLevel="0" collapsed="false">
      <c r="A9" s="0" t="s">
        <v>68</v>
      </c>
      <c r="C9" s="14" t="n">
        <f aca="false">C7+C8</f>
        <v>50.4</v>
      </c>
      <c r="D9" s="14" t="n">
        <f aca="false">D7+D8</f>
        <v>55.44</v>
      </c>
      <c r="E9" s="14" t="n">
        <f aca="false">E7+E8</f>
        <v>59.8752</v>
      </c>
      <c r="F9" s="14" t="n">
        <f aca="false">F7+F8</f>
        <v>63.467712</v>
      </c>
      <c r="G9" s="14" t="n">
        <f aca="false">G7+G8</f>
        <v>66.6410976</v>
      </c>
    </row>
    <row r="10" customFormat="false" ht="15" hidden="false" customHeight="false" outlineLevel="0" collapsed="false">
      <c r="A10" s="0" t="s">
        <v>69</v>
      </c>
      <c r="C10" s="14" t="n">
        <f aca="false">-C9*Assumptions!$B$15</f>
        <v>-12.6</v>
      </c>
      <c r="D10" s="14" t="n">
        <f aca="false">-D9*Assumptions!$B$15</f>
        <v>-13.86</v>
      </c>
      <c r="E10" s="14" t="n">
        <f aca="false">-E9*Assumptions!$B$15</f>
        <v>-14.9688</v>
      </c>
      <c r="F10" s="14" t="n">
        <f aca="false">-F9*Assumptions!$B$15</f>
        <v>-15.866928</v>
      </c>
      <c r="G10" s="14" t="n">
        <f aca="false">-G9*Assumptions!$B$15</f>
        <v>-16.6602744</v>
      </c>
    </row>
    <row r="11" customFormat="false" ht="15" hidden="false" customHeight="false" outlineLevel="0" collapsed="false">
      <c r="A11" s="0" t="s">
        <v>70</v>
      </c>
      <c r="C11" s="14" t="n">
        <f aca="false">C9+C10</f>
        <v>37.8</v>
      </c>
      <c r="D11" s="14" t="n">
        <f aca="false">D9+D10</f>
        <v>41.58</v>
      </c>
      <c r="E11" s="14" t="n">
        <f aca="false">E9+E10</f>
        <v>44.9064</v>
      </c>
      <c r="F11" s="14" t="n">
        <f aca="false">F9+F10</f>
        <v>47.600784</v>
      </c>
      <c r="G11" s="14" t="n">
        <f aca="false">G9+G10</f>
        <v>49.9808232</v>
      </c>
    </row>
    <row r="12" customFormat="false" ht="15" hidden="false" customHeight="false" outlineLevel="0" collapsed="false">
      <c r="A12" s="0" t="s">
        <v>71</v>
      </c>
      <c r="C12" s="14" t="n">
        <f aca="false">-C8</f>
        <v>11.2</v>
      </c>
      <c r="D12" s="14" t="n">
        <f aca="false">-D8</f>
        <v>12.32</v>
      </c>
      <c r="E12" s="14" t="n">
        <f aca="false">-E8</f>
        <v>13.3056</v>
      </c>
      <c r="F12" s="14" t="n">
        <f aca="false">-F8</f>
        <v>14.103936</v>
      </c>
      <c r="G12" s="14" t="n">
        <f aca="false">-G8</f>
        <v>14.8091328</v>
      </c>
    </row>
    <row r="13" customFormat="false" ht="15" hidden="false" customHeight="false" outlineLevel="0" collapsed="false">
      <c r="A13" s="0" t="s">
        <v>72</v>
      </c>
      <c r="C13" s="14" t="n">
        <f aca="false">-C6*Assumptions!$B$13</f>
        <v>-14</v>
      </c>
      <c r="D13" s="14" t="n">
        <f aca="false">-D6*Assumptions!$B$13</f>
        <v>-15.4</v>
      </c>
      <c r="E13" s="14" t="n">
        <f aca="false">-E6*Assumptions!$B$13</f>
        <v>-16.632</v>
      </c>
      <c r="F13" s="14" t="n">
        <f aca="false">-F6*Assumptions!$B$13</f>
        <v>-17.62992</v>
      </c>
      <c r="G13" s="14" t="n">
        <f aca="false">-G6*Assumptions!$B$13</f>
        <v>-18.511416</v>
      </c>
    </row>
    <row r="14" customFormat="false" ht="15" hidden="false" customHeight="false" outlineLevel="0" collapsed="false">
      <c r="A14" s="0" t="s">
        <v>73</v>
      </c>
      <c r="B14" s="14" t="n">
        <f aca="false">B6*Assumptions!$B$14</f>
        <v>37.5</v>
      </c>
      <c r="C14" s="14" t="n">
        <f aca="false">C6*Assumptions!$B$14</f>
        <v>42</v>
      </c>
      <c r="D14" s="14" t="n">
        <f aca="false">D6*Assumptions!$B$14</f>
        <v>46.2</v>
      </c>
      <c r="E14" s="14" t="n">
        <f aca="false">E6*Assumptions!$B$14</f>
        <v>49.896</v>
      </c>
      <c r="F14" s="14" t="n">
        <f aca="false">F6*Assumptions!$B$14</f>
        <v>52.88976</v>
      </c>
      <c r="G14" s="14" t="n">
        <f aca="false">G6*Assumptions!$B$14</f>
        <v>55.534248</v>
      </c>
    </row>
    <row r="15" customFormat="false" ht="15" hidden="false" customHeight="false" outlineLevel="0" collapsed="false">
      <c r="A15" s="0" t="s">
        <v>74</v>
      </c>
      <c r="C15" s="14" t="n">
        <f aca="false">-(C14-B14)</f>
        <v>-4.5</v>
      </c>
      <c r="D15" s="14" t="n">
        <f aca="false">-(D14-C14)</f>
        <v>-4.2</v>
      </c>
      <c r="E15" s="14" t="n">
        <f aca="false">-(E14-D14)</f>
        <v>-3.69600000000001</v>
      </c>
      <c r="F15" s="14" t="n">
        <f aca="false">-(F14-E14)</f>
        <v>-2.99376</v>
      </c>
      <c r="G15" s="14" t="n">
        <f aca="false">-(G14-F14)</f>
        <v>-2.644488</v>
      </c>
    </row>
    <row r="16" customFormat="false" ht="15" hidden="false" customHeight="false" outlineLevel="0" collapsed="false">
      <c r="A16" s="3" t="s">
        <v>75</v>
      </c>
      <c r="C16" s="15" t="n">
        <f aca="false">C11+C12+C13+C15</f>
        <v>30.5</v>
      </c>
      <c r="D16" s="15" t="n">
        <f aca="false">D11+D12+D13+D15</f>
        <v>34.3</v>
      </c>
      <c r="E16" s="15" t="n">
        <f aca="false">E11+E12+E13+E15</f>
        <v>37.884</v>
      </c>
      <c r="F16" s="15" t="n">
        <f aca="false">F11+F12+F13+F15</f>
        <v>41.08104</v>
      </c>
      <c r="G16" s="15" t="n">
        <f aca="false">G11+G12+G13+G15</f>
        <v>43.634052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8" min="2" style="0" width="15"/>
  </cols>
  <sheetData>
    <row r="1" customFormat="false" ht="17.35" hidden="false" customHeight="false" outlineLevel="0" collapsed="false">
      <c r="A1" s="1" t="s">
        <v>76</v>
      </c>
    </row>
    <row r="2" customFormat="false" ht="15" hidden="false" customHeight="false" outlineLevel="0" collapsed="false">
      <c r="A2" s="2" t="s">
        <v>77</v>
      </c>
    </row>
    <row r="4" customFormat="false" ht="15" hidden="false" customHeight="false" outlineLevel="0" collapsed="false">
      <c r="A4" s="0" t="s">
        <v>45</v>
      </c>
      <c r="B4" s="8" t="n">
        <f aca="false">Assumptions!$B$28</f>
        <v>0.106525</v>
      </c>
    </row>
    <row r="5" customFormat="false" ht="15" hidden="false" customHeight="false" outlineLevel="0" collapsed="false">
      <c r="A5" s="0" t="s">
        <v>78</v>
      </c>
      <c r="B5" s="7" t="n">
        <f aca="false">Assumptions!$B$31</f>
        <v>0.03</v>
      </c>
    </row>
    <row r="6" customFormat="false" ht="15" hidden="false" customHeight="false" outlineLevel="0" collapsed="false">
      <c r="A6" s="0" t="s">
        <v>79</v>
      </c>
      <c r="B6" s="16" t="n">
        <f aca="false">Assumptions!$B$33</f>
        <v>1</v>
      </c>
    </row>
    <row r="8" customFormat="false" ht="15" hidden="false" customHeight="false" outlineLevel="0" collapsed="false">
      <c r="A8" s="3" t="s">
        <v>12</v>
      </c>
      <c r="C8" s="13" t="s">
        <v>59</v>
      </c>
      <c r="D8" s="13" t="s">
        <v>60</v>
      </c>
      <c r="E8" s="13" t="s">
        <v>61</v>
      </c>
      <c r="F8" s="13" t="s">
        <v>62</v>
      </c>
      <c r="G8" s="13" t="s">
        <v>63</v>
      </c>
    </row>
    <row r="9" customFormat="false" ht="15" hidden="false" customHeight="false" outlineLevel="0" collapsed="false">
      <c r="A9" s="0" t="s">
        <v>80</v>
      </c>
      <c r="C9" s="17" t="n">
        <f aca="false">1-$B$6*0.5</f>
        <v>0.5</v>
      </c>
      <c r="D9" s="17" t="n">
        <f aca="false">2-$B$6*0.5</f>
        <v>1.5</v>
      </c>
      <c r="E9" s="17" t="n">
        <f aca="false">3-$B$6*0.5</f>
        <v>2.5</v>
      </c>
      <c r="F9" s="17" t="n">
        <f aca="false">4-$B$6*0.5</f>
        <v>3.5</v>
      </c>
      <c r="G9" s="17" t="n">
        <f aca="false">5-$B$6*0.5</f>
        <v>4.5</v>
      </c>
    </row>
    <row r="10" customFormat="false" ht="15" hidden="false" customHeight="false" outlineLevel="0" collapsed="false">
      <c r="A10" s="0" t="s">
        <v>81</v>
      </c>
      <c r="C10" s="18" t="n">
        <f aca="false">1/(1+$B$4)^C9</f>
        <v>0.950647224883317</v>
      </c>
      <c r="D10" s="18" t="n">
        <f aca="false">1/(1+$B$4)^D9</f>
        <v>0.859128555507844</v>
      </c>
      <c r="E10" s="18" t="n">
        <f aca="false">1/(1+$B$4)^E9</f>
        <v>0.776420375055099</v>
      </c>
      <c r="F10" s="18" t="n">
        <f aca="false">1/(1+$B$4)^F9</f>
        <v>0.701674499044395</v>
      </c>
      <c r="G10" s="18" t="n">
        <f aca="false">1/(1+$B$4)^G9</f>
        <v>0.634124397591012</v>
      </c>
    </row>
    <row r="11" customFormat="false" ht="15" hidden="false" customHeight="false" outlineLevel="0" collapsed="false">
      <c r="A11" s="0" t="s">
        <v>75</v>
      </c>
      <c r="C11" s="14" t="n">
        <f aca="false">Forecast!C16</f>
        <v>30.5</v>
      </c>
      <c r="D11" s="14" t="n">
        <f aca="false">Forecast!D16</f>
        <v>34.3</v>
      </c>
      <c r="E11" s="14" t="n">
        <f aca="false">Forecast!E16</f>
        <v>37.884</v>
      </c>
      <c r="F11" s="14" t="n">
        <f aca="false">Forecast!F16</f>
        <v>41.08104</v>
      </c>
      <c r="G11" s="14" t="n">
        <f aca="false">Forecast!G16</f>
        <v>43.634052</v>
      </c>
    </row>
    <row r="12" customFormat="false" ht="15" hidden="false" customHeight="false" outlineLevel="0" collapsed="false">
      <c r="A12" s="0" t="s">
        <v>82</v>
      </c>
      <c r="C12" s="14" t="n">
        <f aca="false">C10*C11</f>
        <v>28.9947403589412</v>
      </c>
      <c r="D12" s="14" t="n">
        <f aca="false">D10*D11</f>
        <v>29.468109453919</v>
      </c>
      <c r="E12" s="14" t="n">
        <f aca="false">E10*E11</f>
        <v>29.4139094885874</v>
      </c>
      <c r="F12" s="14" t="n">
        <f aca="false">F10*F11</f>
        <v>28.8255181622228</v>
      </c>
      <c r="G12" s="14" t="n">
        <f aca="false">G10*G11</f>
        <v>27.6694169389549</v>
      </c>
    </row>
    <row r="14" customFormat="false" ht="15" hidden="false" customHeight="false" outlineLevel="0" collapsed="false">
      <c r="A14" s="3" t="s">
        <v>83</v>
      </c>
    </row>
    <row r="15" customFormat="false" ht="15" hidden="false" customHeight="false" outlineLevel="0" collapsed="false">
      <c r="A15" s="0" t="s">
        <v>84</v>
      </c>
      <c r="B15" s="14" t="n">
        <f aca="false">Forecast!G16*(1+$B$5)</f>
        <v>44.94307356</v>
      </c>
    </row>
    <row r="16" customFormat="false" ht="15" hidden="false" customHeight="false" outlineLevel="0" collapsed="false">
      <c r="A16" s="0" t="s">
        <v>85</v>
      </c>
      <c r="B16" s="14" t="n">
        <f aca="false">B15/($B$4-$B$5)</f>
        <v>587.299229794185</v>
      </c>
    </row>
    <row r="17" customFormat="false" ht="15" hidden="false" customHeight="false" outlineLevel="0" collapsed="false">
      <c r="A17" s="0" t="s">
        <v>86</v>
      </c>
      <c r="B17" s="18" t="n">
        <f aca="false">1/(1+$B$4)^5</f>
        <v>0.602828598800701</v>
      </c>
    </row>
    <row r="18" customFormat="false" ht="15" hidden="false" customHeight="false" outlineLevel="0" collapsed="false">
      <c r="A18" s="0" t="s">
        <v>87</v>
      </c>
      <c r="B18" s="14" t="n">
        <f aca="false">B16*B17</f>
        <v>354.040771773559</v>
      </c>
    </row>
    <row r="19" customFormat="false" ht="15" hidden="false" customHeight="false" outlineLevel="0" collapsed="false">
      <c r="A19" s="0" t="s">
        <v>88</v>
      </c>
      <c r="B19" s="14" t="n">
        <f aca="false">Forecast!G7*Assumptions!$B$32</f>
        <v>651.6018432</v>
      </c>
    </row>
    <row r="20" customFormat="false" ht="15" hidden="false" customHeight="false" outlineLevel="0" collapsed="false">
      <c r="A20" s="0" t="s">
        <v>89</v>
      </c>
      <c r="B20" s="19" t="n">
        <f aca="false">B16/Forecast!G7</f>
        <v>7.21052877210995</v>
      </c>
    </row>
    <row r="22" customFormat="false" ht="15" hidden="false" customHeight="false" outlineLevel="0" collapsed="false">
      <c r="A22" s="3" t="s">
        <v>90</v>
      </c>
    </row>
    <row r="23" customFormat="false" ht="15" hidden="false" customHeight="false" outlineLevel="0" collapsed="false">
      <c r="A23" s="0" t="s">
        <v>91</v>
      </c>
      <c r="B23" s="14" t="n">
        <f aca="false">SUM(C12:G12)</f>
        <v>144.371694402625</v>
      </c>
    </row>
    <row r="24" customFormat="false" ht="15" hidden="false" customHeight="false" outlineLevel="0" collapsed="false">
      <c r="A24" s="0" t="s">
        <v>92</v>
      </c>
      <c r="B24" s="14" t="n">
        <f aca="false">B18</f>
        <v>354.040771773559</v>
      </c>
    </row>
    <row r="25" customFormat="false" ht="15" hidden="false" customHeight="false" outlineLevel="0" collapsed="false">
      <c r="A25" s="3" t="s">
        <v>93</v>
      </c>
      <c r="B25" s="15" t="n">
        <f aca="false">B23+B24</f>
        <v>498.412466176185</v>
      </c>
    </row>
    <row r="26" customFormat="false" ht="15" hidden="false" customHeight="false" outlineLevel="0" collapsed="false">
      <c r="A26" s="0" t="s">
        <v>94</v>
      </c>
      <c r="B26" s="7" t="n">
        <f aca="false">B24/B25</f>
        <v>0.710336911293083</v>
      </c>
    </row>
    <row r="27" customFormat="false" ht="15" hidden="false" customHeight="false" outlineLevel="0" collapsed="false">
      <c r="A27" s="0" t="s">
        <v>95</v>
      </c>
      <c r="B27" s="14" t="n">
        <f aca="false">-Assumptions!$B$36</f>
        <v>-120</v>
      </c>
    </row>
    <row r="28" customFormat="false" ht="15" hidden="false" customHeight="false" outlineLevel="0" collapsed="false">
      <c r="A28" s="0" t="s">
        <v>96</v>
      </c>
      <c r="B28" s="14" t="n">
        <f aca="false">Assumptions!$B$37</f>
        <v>25</v>
      </c>
    </row>
    <row r="29" customFormat="false" ht="15" hidden="false" customHeight="false" outlineLevel="0" collapsed="false">
      <c r="A29" s="0" t="s">
        <v>97</v>
      </c>
      <c r="B29" s="14" t="n">
        <f aca="false">-Assumptions!$B$38</f>
        <v>-10</v>
      </c>
    </row>
    <row r="30" customFormat="false" ht="15" hidden="false" customHeight="false" outlineLevel="0" collapsed="false">
      <c r="A30" s="0" t="s">
        <v>98</v>
      </c>
      <c r="B30" s="14" t="n">
        <f aca="false">Assumptions!$B$39</f>
        <v>5</v>
      </c>
    </row>
    <row r="31" customFormat="false" ht="15" hidden="false" customHeight="false" outlineLevel="0" collapsed="false">
      <c r="A31" s="3" t="s">
        <v>99</v>
      </c>
      <c r="B31" s="15" t="n">
        <f aca="false">B25+B27+B28+B29+B30</f>
        <v>398.412466176185</v>
      </c>
    </row>
    <row r="32" customFormat="false" ht="15" hidden="false" customHeight="false" outlineLevel="0" collapsed="false">
      <c r="A32" s="0" t="s">
        <v>100</v>
      </c>
      <c r="B32" s="20" t="n">
        <f aca="false">B31/Assumptions!$B$40</f>
        <v>9.96031165440461</v>
      </c>
    </row>
    <row r="35" customFormat="false" ht="15" hidden="false" customHeight="false" outlineLevel="0" collapsed="false">
      <c r="A35" s="3" t="s">
        <v>101</v>
      </c>
    </row>
    <row r="36" customFormat="false" ht="15" hidden="false" customHeight="false" outlineLevel="0" collapsed="false">
      <c r="A36" s="21" t="s">
        <v>102</v>
      </c>
    </row>
    <row r="37" customFormat="false" ht="15" hidden="false" customHeight="false" outlineLevel="0" collapsed="false">
      <c r="B37" s="12" t="s">
        <v>103</v>
      </c>
      <c r="C37" s="22" t="n">
        <f aca="false">$B$5+-0.01</f>
        <v>0.02</v>
      </c>
      <c r="D37" s="22" t="n">
        <f aca="false">$B$5+-0.005</f>
        <v>0.025</v>
      </c>
      <c r="E37" s="22" t="n">
        <f aca="false">$B$5+0</f>
        <v>0.03</v>
      </c>
      <c r="F37" s="22" t="n">
        <f aca="false">$B$5+0.005</f>
        <v>0.035</v>
      </c>
      <c r="G37" s="22" t="n">
        <f aca="false">$B$5+0.01</f>
        <v>0.04</v>
      </c>
    </row>
    <row r="38" customFormat="false" ht="15" hidden="false" customHeight="false" outlineLevel="0" collapsed="false">
      <c r="B38" s="23" t="n">
        <f aca="false">$B$4+-0.01</f>
        <v>0.096525</v>
      </c>
      <c r="C38" s="24" t="n">
        <f aca="false">Forecast!C16/(1+$B38)^(1-$B$6*0.5)+Forecast!D16/(1+$B38)^(2-$B$6*0.5)+Forecast!E16/(1+$B38)^(3-$B$6*0.5)+Forecast!F16/(1+$B38)^(4-$B$6*0.5)+Forecast!G16/(1+$B38)^(5-$B$6*0.5)+(Forecast!G16*(1+C$37)/($B38-C$37))/(1+$B38)^5</f>
        <v>514.552017619216</v>
      </c>
      <c r="D38" s="24" t="n">
        <f aca="false">Forecast!C16/(1+$B38)^(1-$B$6*0.5)+Forecast!D16/(1+$B38)^(2-$B$6*0.5)+Forecast!E16/(1+$B38)^(3-$B$6*0.5)+Forecast!F16/(1+$B38)^(4-$B$6*0.5)+Forecast!G16/(1+$B38)^(5-$B$6*0.5)+(Forecast!G16*(1+D$37)/($B38-D$37))/(1+$B38)^5</f>
        <v>542.12350488381</v>
      </c>
      <c r="E38" s="24" t="n">
        <f aca="false">Forecast!C16/(1+$B38)^(1-$B$6*0.5)+Forecast!D16/(1+$B38)^(2-$B$6*0.5)+Forecast!E16/(1+$B38)^(3-$B$6*0.5)+Forecast!F16/(1+$B38)^(4-$B$6*0.5)+Forecast!G16/(1+$B38)^(5-$B$6*0.5)+(Forecast!G16*(1+E$37)/($B38-E$37))/(1+$B38)^5</f>
        <v>573.839522364802</v>
      </c>
      <c r="F38" s="24" t="n">
        <f aca="false">Forecast!C16/(1+$B38)^(1-$B$6*0.5)+Forecast!D16/(1+$B38)^(2-$B$6*0.5)+Forecast!E16/(1+$B38)^(3-$B$6*0.5)+Forecast!F16/(1+$B38)^(4-$B$6*0.5)+Forecast!G16/(1+$B38)^(5-$B$6*0.5)+(Forecast!G16*(1+F$37)/($B38-F$37))/(1+$B38)^5</f>
        <v>610.710520338439</v>
      </c>
      <c r="G38" s="24" t="n">
        <f aca="false">Forecast!C16/(1+$B38)^(1-$B$6*0.5)+Forecast!D16/(1+$B38)^(2-$B$6*0.5)+Forecast!E16/(1+$B38)^(3-$B$6*0.5)+Forecast!F16/(1+$B38)^(4-$B$6*0.5)+Forecast!G16/(1+$B38)^(5-$B$6*0.5)+(Forecast!G16*(1+G$37)/($B38-G$37))/(1+$B38)^5</f>
        <v>654.104472398521</v>
      </c>
    </row>
    <row r="39" customFormat="false" ht="15" hidden="false" customHeight="false" outlineLevel="0" collapsed="false">
      <c r="B39" s="23" t="n">
        <f aca="false">$B$4+-0.005</f>
        <v>0.101525</v>
      </c>
      <c r="C39" s="24" t="n">
        <f aca="false">Forecast!C16/(1+$B39)^(1-$B$6*0.5)+Forecast!D16/(1+$B39)^(2-$B$6*0.5)+Forecast!E16/(1+$B39)^(3-$B$6*0.5)+Forecast!F16/(1+$B39)^(4-$B$6*0.5)+Forecast!G16/(1+$B39)^(5-$B$6*0.5)+(Forecast!G16*(1+C$37)/($B39-C$37))/(1+$B39)^5</f>
        <v>482.641447445261</v>
      </c>
      <c r="D39" s="24" t="n">
        <f aca="false">Forecast!C16/(1+$B39)^(1-$B$6*0.5)+Forecast!D16/(1+$B39)^(2-$B$6*0.5)+Forecast!E16/(1+$B39)^(3-$B$6*0.5)+Forecast!F16/(1+$B39)^(4-$B$6*0.5)+Forecast!G16/(1+$B39)^(5-$B$6*0.5)+(Forecast!G16*(1+D$37)/($B39-D$37))/(1+$B39)^5</f>
        <v>506.394748350483</v>
      </c>
      <c r="E39" s="24" t="n">
        <f aca="false">Forecast!C16/(1+$B39)^(1-$B$6*0.5)+Forecast!D16/(1+$B39)^(2-$B$6*0.5)+Forecast!E16/(1+$B39)^(3-$B$6*0.5)+Forecast!F16/(1+$B39)^(4-$B$6*0.5)+Forecast!G16/(1+$B39)^(5-$B$6*0.5)+(Forecast!G16*(1+E$37)/($B39-E$37))/(1+$B39)^5</f>
        <v>533.46902806105</v>
      </c>
      <c r="F39" s="24" t="n">
        <f aca="false">Forecast!C16/(1+$B39)^(1-$B$6*0.5)+Forecast!D16/(1+$B39)^(2-$B$6*0.5)+Forecast!E16/(1+$B39)^(3-$B$6*0.5)+Forecast!F16/(1+$B39)^(4-$B$6*0.5)+Forecast!G16/(1+$B39)^(5-$B$6*0.5)+(Forecast!G16*(1+F$37)/($B39-F$37))/(1+$B39)^5</f>
        <v>564.613098032506</v>
      </c>
      <c r="G39" s="24" t="n">
        <f aca="false">Forecast!C16/(1+$B39)^(1-$B$6*0.5)+Forecast!D16/(1+$B39)^(2-$B$6*0.5)+Forecast!E16/(1+$B39)^(3-$B$6*0.5)+Forecast!F16/(1+$B39)^(4-$B$6*0.5)+Forecast!G16/(1+$B39)^(5-$B$6*0.5)+(Forecast!G16*(1+G$37)/($B39-G$37))/(1+$B39)^5</f>
        <v>600.819186690912</v>
      </c>
    </row>
    <row r="40" customFormat="false" ht="15" hidden="false" customHeight="false" outlineLevel="0" collapsed="false">
      <c r="B40" s="23" t="n">
        <f aca="false">$B$4+0</f>
        <v>0.106525</v>
      </c>
      <c r="C40" s="24" t="n">
        <f aca="false">Forecast!C16/(1+$B40)^(1-$B$6*0.5)+Forecast!D16/(1+$B40)^(2-$B$6*0.5)+Forecast!E16/(1+$B40)^(3-$B$6*0.5)+Forecast!F16/(1+$B40)^(4-$B$6*0.5)+Forecast!G16/(1+$B40)^(5-$B$6*0.5)+(Forecast!G16*(1+C$37)/($B40-C$37))/(1+$B40)^5</f>
        <v>454.454693717275</v>
      </c>
      <c r="D40" s="24" t="n">
        <f aca="false">Forecast!C16/(1+$B40)^(1-$B$6*0.5)+Forecast!D16/(1+$B40)^(2-$B$6*0.5)+Forecast!E16/(1+$B40)^(3-$B$6*0.5)+Forecast!F16/(1+$B40)^(4-$B$6*0.5)+Forecast!G16/(1+$B40)^(5-$B$6*0.5)+(Forecast!G16*(1+D$37)/($B40-D$37))/(1+$B40)^5</f>
        <v>475.085595510701</v>
      </c>
      <c r="E40" s="24" t="n">
        <f aca="false">Forecast!C16/(1+$B40)^(1-$B$6*0.5)+Forecast!D16/(1+$B40)^(2-$B$6*0.5)+Forecast!E16/(1+$B40)^(3-$B$6*0.5)+Forecast!F16/(1+$B40)^(4-$B$6*0.5)+Forecast!G16/(1+$B40)^(5-$B$6*0.5)+(Forecast!G16*(1+E$37)/($B40-E$37))/(1+$B40)^5</f>
        <v>498.412466176185</v>
      </c>
      <c r="F40" s="24" t="n">
        <f aca="false">Forecast!C16/(1+$B40)^(1-$B$6*0.5)+Forecast!D16/(1+$B40)^(2-$B$6*0.5)+Forecast!E16/(1+$B40)^(3-$B$6*0.5)+Forecast!F16/(1+$B40)^(4-$B$6*0.5)+Forecast!G16/(1+$B40)^(5-$B$6*0.5)+(Forecast!G16*(1+F$37)/($B40-F$37))/(1+$B40)^5</f>
        <v>525.000695900107</v>
      </c>
      <c r="G40" s="24" t="n">
        <f aca="false">Forecast!C16/(1+$B40)^(1-$B$6*0.5)+Forecast!D16/(1+$B40)^(2-$B$6*0.5)+Forecast!E16/(1+$B40)^(3-$B$6*0.5)+Forecast!F16/(1+$B40)^(4-$B$6*0.5)+Forecast!G16/(1+$B40)^(5-$B$6*0.5)+(Forecast!G16*(1+G$37)/($B40-G$37))/(1+$B40)^5</f>
        <v>555.585653128566</v>
      </c>
    </row>
    <row r="41" customFormat="false" ht="15" hidden="false" customHeight="false" outlineLevel="0" collapsed="false">
      <c r="B41" s="23" t="n">
        <f aca="false">$B$4+0.005</f>
        <v>0.111525</v>
      </c>
      <c r="C41" s="24" t="n">
        <f aca="false">Forecast!C16/(1+$B41)^(1-$B$6*0.5)+Forecast!D16/(1+$B41)^(2-$B$6*0.5)+Forecast!E16/(1+$B41)^(3-$B$6*0.5)+Forecast!F16/(1+$B41)^(4-$B$6*0.5)+Forecast!G16/(1+$B41)^(5-$B$6*0.5)+(Forecast!G16*(1+C$37)/($B41-C$37))/(1+$B41)^5</f>
        <v>429.380122343453</v>
      </c>
      <c r="D41" s="24" t="n">
        <f aca="false">Forecast!C16/(1+$B41)^(1-$B$6*0.5)+Forecast!D16/(1+$B41)^(2-$B$6*0.5)+Forecast!E16/(1+$B41)^(3-$B$6*0.5)+Forecast!F16/(1+$B41)^(4-$B$6*0.5)+Forecast!G16/(1+$B41)^(5-$B$6*0.5)+(Forecast!G16*(1+D$37)/($B41-D$37))/(1+$B41)^5</f>
        <v>447.428462318375</v>
      </c>
      <c r="E41" s="24" t="n">
        <f aca="false">Forecast!C16/(1+$B41)^(1-$B$6*0.5)+Forecast!D16/(1+$B41)^(2-$B$6*0.5)+Forecast!E16/(1+$B41)^(3-$B$6*0.5)+Forecast!F16/(1+$B41)^(4-$B$6*0.5)+Forecast!G16/(1+$B41)^(5-$B$6*0.5)+(Forecast!G16*(1+E$37)/($B41-E$37))/(1+$B41)^5</f>
        <v>467.690643443241</v>
      </c>
      <c r="F41" s="24" t="n">
        <f aca="false">Forecast!C16/(1+$B41)^(1-$B$6*0.5)+Forecast!D16/(1+$B41)^(2-$B$6*0.5)+Forecast!E16/(1+$B41)^(3-$B$6*0.5)+Forecast!F16/(1+$B41)^(4-$B$6*0.5)+Forecast!G16/(1+$B41)^(5-$B$6*0.5)+(Forecast!G16*(1+F$37)/($B41-F$37))/(1+$B41)^5</f>
        <v>490.60061040605</v>
      </c>
      <c r="G41" s="24" t="n">
        <f aca="false">Forecast!C16/(1+$B41)^(1-$B$6*0.5)+Forecast!D16/(1+$B41)^(2-$B$6*0.5)+Forecast!E16/(1+$B41)^(3-$B$6*0.5)+Forecast!F16/(1+$B41)^(4-$B$6*0.5)+Forecast!G16/(1+$B41)^(5-$B$6*0.5)+(Forecast!G16*(1+G$37)/($B41-G$37))/(1+$B41)^5</f>
        <v>516.713648597495</v>
      </c>
    </row>
    <row r="42" customFormat="false" ht="15" hidden="false" customHeight="false" outlineLevel="0" collapsed="false">
      <c r="B42" s="23" t="n">
        <f aca="false">$B$4+0.01</f>
        <v>0.116525</v>
      </c>
      <c r="C42" s="24" t="n">
        <f aca="false">Forecast!C16/(1+$B42)^(1-$B$6*0.5)+Forecast!D16/(1+$B42)^(2-$B$6*0.5)+Forecast!E16/(1+$B42)^(3-$B$6*0.5)+Forecast!F16/(1+$B42)^(4-$B$6*0.5)+Forecast!G16/(1+$B42)^(5-$B$6*0.5)+(Forecast!G16*(1+C$37)/($B42-C$37))/(1+$B42)^5</f>
        <v>406.932882884054</v>
      </c>
      <c r="D42" s="24" t="n">
        <f aca="false">Forecast!C16/(1+$B42)^(1-$B$6*0.5)+Forecast!D16/(1+$B42)^(2-$B$6*0.5)+Forecast!E16/(1+$B42)^(3-$B$6*0.5)+Forecast!F16/(1+$B42)^(4-$B$6*0.5)+Forecast!G16/(1+$B42)^(5-$B$6*0.5)+(Forecast!G16*(1+D$37)/($B42-D$37))/(1+$B42)^5</f>
        <v>422.823552353629</v>
      </c>
      <c r="E42" s="24" t="n">
        <f aca="false">Forecast!C16/(1+$B42)^(1-$B$6*0.5)+Forecast!D16/(1+$B42)^(2-$B$6*0.5)+Forecast!E16/(1+$B42)^(3-$B$6*0.5)+Forecast!F16/(1+$B42)^(4-$B$6*0.5)+Forecast!G16/(1+$B42)^(5-$B$6*0.5)+(Forecast!G16*(1+E$37)/($B42-E$37))/(1+$B42)^5</f>
        <v>440.550762646037</v>
      </c>
      <c r="F42" s="24" t="n">
        <f aca="false">Forecast!C16/(1+$B42)^(1-$B$6*0.5)+Forecast!D16/(1+$B42)^(2-$B$6*0.5)+Forecast!E16/(1+$B42)^(3-$B$6*0.5)+Forecast!F16/(1+$B42)^(4-$B$6*0.5)+Forecast!G16/(1+$B42)^(5-$B$6*0.5)+(Forecast!G16*(1+F$37)/($B42-F$37))/(1+$B42)^5</f>
        <v>460.452423756282</v>
      </c>
      <c r="G42" s="24" t="n">
        <f aca="false">Forecast!C16/(1+$B42)^(1-$B$6*0.5)+Forecast!D16/(1+$B42)^(2-$B$6*0.5)+Forecast!E16/(1+$B42)^(3-$B$6*0.5)+Forecast!F16/(1+$B42)^(4-$B$6*0.5)+Forecast!G16/(1+$B42)^(5-$B$6*0.5)+(Forecast!G16*(1+G$37)/($B42-G$37))/(1+$B42)^5</f>
        <v>482.954759301058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true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8" min="3" style="0" width="15"/>
  </cols>
  <sheetData>
    <row r="1" customFormat="false" ht="17.35" hidden="false" customHeight="false" outlineLevel="0" collapsed="false">
      <c r="A1" s="1" t="s">
        <v>104</v>
      </c>
    </row>
    <row r="2" customFormat="false" ht="15" hidden="false" customHeight="false" outlineLevel="0" collapsed="false">
      <c r="A2" s="2" t="s">
        <v>105</v>
      </c>
    </row>
    <row r="4" customFormat="false" ht="15" hidden="false" customHeight="false" outlineLevel="0" collapsed="false">
      <c r="A4" s="12" t="s">
        <v>106</v>
      </c>
      <c r="B4" s="12" t="s">
        <v>107</v>
      </c>
    </row>
    <row r="5" customFormat="false" ht="15" hidden="false" customHeight="false" outlineLevel="0" collapsed="false">
      <c r="A5" s="0" t="s">
        <v>108</v>
      </c>
      <c r="B5" s="25" t="str">
        <f aca="false">IF(Assumptions!B28&gt;Assumptions!B31,"OK","FAIL")</f>
        <v>OK</v>
      </c>
    </row>
    <row r="6" customFormat="false" ht="15" hidden="false" customHeight="false" outlineLevel="0" collapsed="false">
      <c r="A6" s="0" t="s">
        <v>109</v>
      </c>
      <c r="B6" s="25" t="str">
        <f aca="false">IF(ROUND(Assumptions!B24+Assumptions!B25,6)=1,"OK","FAIL")</f>
        <v>OK</v>
      </c>
    </row>
    <row r="7" customFormat="false" ht="15" hidden="false" customHeight="false" outlineLevel="0" collapsed="false">
      <c r="A7" s="0" t="s">
        <v>110</v>
      </c>
      <c r="B7" s="25" t="str">
        <f aca="false">IF(COUNT(Forecast!C16:G16)=5,"OK","FAIL")</f>
        <v>OK</v>
      </c>
    </row>
    <row r="8" customFormat="false" ht="15" hidden="false" customHeight="false" outlineLevel="0" collapsed="false">
      <c r="A8" s="0" t="s">
        <v>111</v>
      </c>
      <c r="B8" s="25" t="str">
        <f aca="false">IF(DCF!B25&gt;0,"OK","FAIL")</f>
        <v>OK</v>
      </c>
    </row>
    <row r="9" customFormat="false" ht="15" hidden="false" customHeight="false" outlineLevel="0" collapsed="false">
      <c r="A9" s="0" t="s">
        <v>112</v>
      </c>
      <c r="B9" s="25" t="str">
        <f aca="false">IF(DCF!B26&lt;0.85,"OK","REVIEW")</f>
        <v>OK</v>
      </c>
    </row>
    <row r="10" customFormat="false" ht="15" hidden="false" customHeight="false" outlineLevel="0" collapsed="false">
      <c r="A10" s="0" t="s">
        <v>113</v>
      </c>
      <c r="B10" s="25" t="str">
        <f aca="false">IF(ABS(DCF!B16/DCF!B19-1)&lt;0.25,"OK","REVIEW")</f>
        <v>OK</v>
      </c>
    </row>
    <row r="11" customFormat="false" ht="15" hidden="false" customHeight="false" outlineLevel="0" collapsed="false">
      <c r="A11" s="0" t="s">
        <v>114</v>
      </c>
      <c r="B11" s="25" t="str">
        <f aca="false">IF(DCF!B31&gt;0,"OK","FAIL")</f>
        <v>OK</v>
      </c>
    </row>
    <row r="12" customFormat="false" ht="15" hidden="false" customHeight="false" outlineLevel="0" collapsed="false">
      <c r="A12" s="0" t="s">
        <v>115</v>
      </c>
      <c r="B12" s="25" t="str">
        <f aca="false">IF(AND(Assumptions!B15&gt;=0,Assumptions!B15&lt;=0.5),"OK","FAIL")</f>
        <v>OK</v>
      </c>
    </row>
    <row r="14" customFormat="false" ht="15" hidden="false" customHeight="false" outlineLevel="0" collapsed="false">
      <c r="A14" s="3" t="s">
        <v>116</v>
      </c>
      <c r="B14" s="3" t="str">
        <f aca="false">IF(COUNTIF(B5:B12,"FAIL")=0,"ALL OK","ERRORS")</f>
        <v>ALL 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2026-09-17T06:53:50Z</dcterms:created>
  <dc:creator>openpyxl</dc:creator>
  <dc:description/>
  <dc:language>en-US</dc:language>
  <cp:lastModifiedBy/>
  <dcterms:modified xsi:type="dcterms:W3CDTF">2026-09-17T06:53:50Z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